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56" yWindow="36" windowWidth="15432" windowHeight="11808" activeTab="0"/>
  </bookViews>
  <sheets>
    <sheet name="最初に読むこと" sheetId="1" r:id="rId1"/>
    <sheet name="NaOH滴定" sheetId="2" r:id="rId2"/>
    <sheet name="硬度の計算" sheetId="3" r:id="rId3"/>
  </sheets>
  <definedNames/>
  <calcPr fullCalcOnLoad="1"/>
</workbook>
</file>

<file path=xl/sharedStrings.xml><?xml version="1.0" encoding="utf-8"?>
<sst xmlns="http://schemas.openxmlformats.org/spreadsheetml/2006/main" count="163" uniqueCount="97">
  <si>
    <t>Ca重量</t>
  </si>
  <si>
    <t>定数</t>
  </si>
  <si>
    <t>計算結果</t>
  </si>
  <si>
    <t>EDTA滴下量</t>
  </si>
  <si>
    <t>総硬度滴下量</t>
  </si>
  <si>
    <t>Ca硬度滴下量</t>
  </si>
  <si>
    <t>EDTA濃度</t>
  </si>
  <si>
    <t>総硬度</t>
  </si>
  <si>
    <t>Ca硬度</t>
  </si>
  <si>
    <t>Mg硬度</t>
  </si>
  <si>
    <t>条件入力</t>
  </si>
  <si>
    <t>EDTA滴下量</t>
  </si>
  <si>
    <t>総硬度滴下量</t>
  </si>
  <si>
    <t>Ca硬度滴下量</t>
  </si>
  <si>
    <t>Data1</t>
  </si>
  <si>
    <t>Data2</t>
  </si>
  <si>
    <t>Data1</t>
  </si>
  <si>
    <t>Data2</t>
  </si>
  <si>
    <t>PP滴定</t>
  </si>
  <si>
    <t>メチルオレンジ滴定</t>
  </si>
  <si>
    <t>EDTA標定</t>
  </si>
  <si>
    <t>硬度滴定</t>
  </si>
  <si>
    <r>
      <t>KHCO</t>
    </r>
    <r>
      <rPr>
        <vertAlign val="subscript"/>
        <sz val="11"/>
        <rFont val="ＭＳ Ｐゴシック"/>
        <family val="3"/>
      </rPr>
      <t>3</t>
    </r>
    <r>
      <rPr>
        <sz val="11"/>
        <rFont val="ＭＳ Ｐゴシック"/>
        <family val="3"/>
      </rPr>
      <t>の重量1</t>
    </r>
  </si>
  <si>
    <r>
      <t>KHCO</t>
    </r>
    <r>
      <rPr>
        <vertAlign val="subscript"/>
        <sz val="11"/>
        <rFont val="ＭＳ Ｐゴシック"/>
        <family val="3"/>
      </rPr>
      <t>3</t>
    </r>
    <r>
      <rPr>
        <sz val="11"/>
        <rFont val="ＭＳ Ｐゴシック"/>
        <family val="3"/>
      </rPr>
      <t>の重量2</t>
    </r>
  </si>
  <si>
    <t>塩酸の滴下量1</t>
  </si>
  <si>
    <t>塩酸の滴下量2</t>
  </si>
  <si>
    <t>NaOH精秤</t>
  </si>
  <si>
    <t>NaOH=</t>
  </si>
  <si>
    <r>
      <t>Na</t>
    </r>
    <r>
      <rPr>
        <vertAlign val="subscript"/>
        <sz val="11"/>
        <rFont val="ＭＳ Ｐゴシック"/>
        <family val="3"/>
      </rPr>
      <t>2</t>
    </r>
    <r>
      <rPr>
        <sz val="11"/>
        <rFont val="ＭＳ Ｐゴシック"/>
        <family val="3"/>
      </rPr>
      <t>CO</t>
    </r>
    <r>
      <rPr>
        <vertAlign val="subscript"/>
        <sz val="11"/>
        <rFont val="ＭＳ Ｐゴシック"/>
        <family val="3"/>
      </rPr>
      <t>3</t>
    </r>
    <r>
      <rPr>
        <sz val="11"/>
        <rFont val="ＭＳ Ｐゴシック"/>
        <family val="3"/>
      </rPr>
      <t>=</t>
    </r>
  </si>
  <si>
    <t>NaOH</t>
  </si>
  <si>
    <r>
      <t>Na</t>
    </r>
    <r>
      <rPr>
        <vertAlign val="subscript"/>
        <sz val="11"/>
        <rFont val="ＭＳ Ｐゴシック"/>
        <family val="3"/>
      </rPr>
      <t>2</t>
    </r>
    <r>
      <rPr>
        <sz val="11"/>
        <rFont val="ＭＳ Ｐゴシック"/>
        <family val="3"/>
      </rPr>
      <t>CO</t>
    </r>
    <r>
      <rPr>
        <vertAlign val="subscript"/>
        <sz val="11"/>
        <rFont val="ＭＳ Ｐゴシック"/>
        <family val="3"/>
      </rPr>
      <t>3</t>
    </r>
  </si>
  <si>
    <t>g</t>
  </si>
  <si>
    <t>重量(250 ml中)</t>
  </si>
  <si>
    <t>重量%</t>
  </si>
  <si>
    <t>不純物</t>
  </si>
  <si>
    <t>NaOH精標</t>
  </si>
  <si>
    <t>%</t>
  </si>
  <si>
    <t>25ml中のmol数</t>
  </si>
  <si>
    <t>mol/l</t>
  </si>
  <si>
    <t>HCl濃度</t>
  </si>
  <si>
    <t>NaOH滴下量</t>
  </si>
  <si>
    <t>第一NaOH滴下量</t>
  </si>
  <si>
    <t>第二NaOH滴下量</t>
  </si>
  <si>
    <t>NaOH濃度</t>
  </si>
  <si>
    <t>第一等量点</t>
  </si>
  <si>
    <t>第二等量点</t>
  </si>
  <si>
    <t>リン酸濃度</t>
  </si>
  <si>
    <t>実験B,D計算ルーチン追加</t>
  </si>
  <si>
    <t>NaH2PO4 + NaOH → Na2HPO4 + H2O</t>
  </si>
  <si>
    <t>[NaH2PO4] = [NaOH] * 滴下量 ml / 25 ml</t>
  </si>
  <si>
    <t>実験A塩酸濃度にRun1、Run2の結果を表示</t>
  </si>
  <si>
    <t>実験BとCの場所入れ替え</t>
  </si>
  <si>
    <t>平均</t>
  </si>
  <si>
    <t>使い方：黄色の枠に各条件を入力してください。</t>
  </si>
  <si>
    <t>　　　　　3回以上実験を行ったときは、採用する２値を選んで入れてください。</t>
  </si>
  <si>
    <t>中和滴定A</t>
  </si>
  <si>
    <t>中和滴定B</t>
  </si>
  <si>
    <t>中和滴定C</t>
  </si>
  <si>
    <t>中和滴定D</t>
  </si>
  <si>
    <t>計算用中間値</t>
  </si>
  <si>
    <t>有効数字は各自で考慮すること</t>
  </si>
  <si>
    <t>オレンジ枠に計算結果が表示されます</t>
  </si>
  <si>
    <t>1、2回目各濃度</t>
  </si>
  <si>
    <t>ml</t>
  </si>
  <si>
    <t>ml (Data1,Data2: 2回の滴定値)</t>
  </si>
  <si>
    <t>mol</t>
  </si>
  <si>
    <r>
      <t>CaCO</t>
    </r>
    <r>
      <rPr>
        <vertAlign val="subscript"/>
        <sz val="11"/>
        <rFont val="ＭＳ Ｐゴシック"/>
        <family val="3"/>
      </rPr>
      <t>3</t>
    </r>
    <r>
      <rPr>
        <sz val="11"/>
        <rFont val="ＭＳ Ｐゴシック"/>
        <family val="3"/>
      </rPr>
      <t>分子量</t>
    </r>
  </si>
  <si>
    <r>
      <t>CaCO</t>
    </r>
    <r>
      <rPr>
        <vertAlign val="subscript"/>
        <sz val="11"/>
        <rFont val="ＭＳ Ｐゴシック"/>
        <family val="3"/>
      </rPr>
      <t>3</t>
    </r>
    <r>
      <rPr>
        <sz val="11"/>
        <rFont val="ＭＳ Ｐゴシック"/>
        <family val="3"/>
      </rPr>
      <t>濃度</t>
    </r>
  </si>
  <si>
    <r>
      <t>CaCO</t>
    </r>
    <r>
      <rPr>
        <vertAlign val="subscript"/>
        <sz val="11"/>
        <rFont val="ＭＳ Ｐゴシック"/>
        <family val="3"/>
      </rPr>
      <t>3</t>
    </r>
    <r>
      <rPr>
        <sz val="11"/>
        <rFont val="ＭＳ Ｐゴシック"/>
        <family val="3"/>
      </rPr>
      <t>重量</t>
    </r>
  </si>
  <si>
    <t>検算用ExcelファイルWeb公開</t>
  </si>
  <si>
    <r>
      <t>g (Data1: 秤量便, Data2: 秤量便+KHCO</t>
    </r>
    <r>
      <rPr>
        <vertAlign val="subscript"/>
        <sz val="11"/>
        <rFont val="ＭＳ Ｐゴシック"/>
        <family val="3"/>
      </rPr>
      <t>3</t>
    </r>
    <r>
      <rPr>
        <sz val="11"/>
        <rFont val="ＭＳ Ｐゴシック"/>
        <family val="3"/>
      </rPr>
      <t>)</t>
    </r>
  </si>
  <si>
    <t>g (Data1:秤量便, Data2:秤量便+NaOH)</t>
  </si>
  <si>
    <r>
      <t>g  (Data1:秤量便, Data2:秤量便+CaCO</t>
    </r>
    <r>
      <rPr>
        <vertAlign val="subscript"/>
        <sz val="11"/>
        <rFont val="ＭＳ Ｐゴシック"/>
        <family val="3"/>
      </rPr>
      <t>3</t>
    </r>
    <r>
      <rPr>
        <sz val="11"/>
        <rFont val="ＭＳ Ｐゴシック"/>
        <family val="3"/>
      </rPr>
      <t>)</t>
    </r>
  </si>
  <si>
    <t>注意書き</t>
  </si>
  <si>
    <t>黄色枠に実験で得られた数値を入力してください。</t>
  </si>
  <si>
    <t>2回以上の実験を行ったときは、計算に採用する値のみを入力してください。</t>
  </si>
  <si>
    <t>有効数字は各自で考慮してください。</t>
  </si>
  <si>
    <t>計算の経路や区切り方で若干数値に違いが生じる事があります。</t>
  </si>
  <si>
    <t>更新履歴</t>
  </si>
  <si>
    <t>ml (2回の滴定値)</t>
  </si>
  <si>
    <t>ml (メチルオレンジ指示薬, 2回の滴定値)</t>
  </si>
  <si>
    <t>NaOH滴下量平均</t>
  </si>
  <si>
    <t>第一等量点平均</t>
  </si>
  <si>
    <t>第二等量点平均</t>
  </si>
  <si>
    <r>
      <t>ml (KHCO</t>
    </r>
    <r>
      <rPr>
        <vertAlign val="subscript"/>
        <sz val="11"/>
        <rFont val="ＭＳ Ｐゴシック"/>
        <family val="3"/>
      </rPr>
      <t>3</t>
    </r>
    <r>
      <rPr>
        <sz val="11"/>
        <rFont val="ＭＳ Ｐゴシック"/>
        <family val="3"/>
      </rPr>
      <t xml:space="preserve"> 2回目のHCｌ滴下量)</t>
    </r>
  </si>
  <si>
    <r>
      <t>ml (KHCO</t>
    </r>
    <r>
      <rPr>
        <vertAlign val="subscript"/>
        <sz val="11"/>
        <rFont val="ＭＳ Ｐゴシック"/>
        <family val="3"/>
      </rPr>
      <t>3</t>
    </r>
    <r>
      <rPr>
        <sz val="11"/>
        <rFont val="ＭＳ Ｐゴシック"/>
        <family val="3"/>
      </rPr>
      <t xml:space="preserve"> 1回目のHCｌ滴下量)</t>
    </r>
  </si>
  <si>
    <t>計算用中間値</t>
  </si>
  <si>
    <t>ml (チモールフタレイン指示薬, 2回の滴定値)</t>
  </si>
  <si>
    <t>mg/L</t>
  </si>
  <si>
    <t>mg/L</t>
  </si>
  <si>
    <t>mol/L</t>
  </si>
  <si>
    <t>mol/L</t>
  </si>
  <si>
    <t>総モル濃度</t>
  </si>
  <si>
    <t>Caモル濃度</t>
  </si>
  <si>
    <t>硬度をフランス式（mg/100mL)からアメリカ式（mg/L)に変更</t>
  </si>
  <si>
    <t>Web版がフランス式のままだったのでアメリカ式に修正したものをアップ</t>
  </si>
  <si>
    <t>（フランス式の10倍がアメリカ式なので換算は容易）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</si>
</sst>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_ "/>
    <numFmt numFmtId="178" formatCode="0.0000_ "/>
    <numFmt numFmtId="179" formatCode="0.000_ "/>
    <numFmt numFmtId="180" formatCode="0.0_ "/>
    <numFmt numFmtId="181" formatCode="0.00000_ "/>
    <numFmt numFmtId="182" formatCode="0.000000_ "/>
    <numFmt numFmtId="183" formatCode="0.00_);[Red]\(0.00\)"/>
  </numFmts>
  <fonts count="41">
    <font>
      <sz val="11"/>
      <name val="ＭＳ Ｐゴシック"/>
      <family val="3"/>
    </font>
    <font>
      <sz val="6"/>
      <name val="ＭＳ Ｐゴシック"/>
      <family val="3"/>
    </font>
    <font>
      <sz val="11"/>
      <color indexed="10"/>
      <name val="ＭＳ Ｐゴシック"/>
      <family val="3"/>
    </font>
    <font>
      <sz val="11"/>
      <color indexed="8"/>
      <name val="ＭＳ Ｐゴシック"/>
      <family val="3"/>
    </font>
    <font>
      <vertAlign val="subscript"/>
      <sz val="11"/>
      <name val="ＭＳ Ｐゴシック"/>
      <family val="3"/>
    </font>
    <font>
      <sz val="11"/>
      <color indexed="17"/>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5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2">
    <xf numFmtId="0" fontId="0" fillId="0" borderId="0" xfId="0" applyAlignment="1">
      <alignment/>
    </xf>
    <xf numFmtId="14" fontId="0" fillId="0" borderId="0" xfId="0" applyNumberFormat="1" applyAlignment="1">
      <alignment/>
    </xf>
    <xf numFmtId="0" fontId="2"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horizontal="right"/>
      <protection/>
    </xf>
    <xf numFmtId="0" fontId="2"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horizontal="right"/>
      <protection/>
    </xf>
    <xf numFmtId="0" fontId="0" fillId="0" borderId="15"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178" fontId="0" fillId="33" borderId="16" xfId="0" applyNumberFormat="1" applyFill="1" applyBorder="1" applyAlignment="1" applyProtection="1">
      <alignment/>
      <protection locked="0"/>
    </xf>
    <xf numFmtId="177" fontId="0" fillId="33" borderId="16" xfId="0" applyNumberFormat="1" applyFill="1" applyBorder="1" applyAlignment="1" applyProtection="1">
      <alignment/>
      <protection locked="0"/>
    </xf>
    <xf numFmtId="177" fontId="0" fillId="33" borderId="17" xfId="0" applyNumberFormat="1" applyFill="1" applyBorder="1" applyAlignment="1" applyProtection="1">
      <alignment/>
      <protection locked="0"/>
    </xf>
    <xf numFmtId="0" fontId="0" fillId="33" borderId="16" xfId="0" applyFill="1" applyBorder="1" applyAlignment="1" applyProtection="1">
      <alignment/>
      <protection locked="0"/>
    </xf>
    <xf numFmtId="0" fontId="0" fillId="34" borderId="0" xfId="0" applyFill="1" applyAlignment="1" applyProtection="1">
      <alignment/>
      <protection/>
    </xf>
    <xf numFmtId="0" fontId="0" fillId="35" borderId="0" xfId="0" applyFill="1" applyAlignment="1" applyProtection="1">
      <alignment/>
      <protection/>
    </xf>
    <xf numFmtId="0" fontId="39" fillId="0" borderId="10" xfId="0" applyFont="1" applyBorder="1" applyAlignment="1" applyProtection="1">
      <alignment/>
      <protection/>
    </xf>
    <xf numFmtId="0" fontId="0" fillId="0" borderId="18" xfId="0" applyBorder="1" applyAlignment="1" applyProtection="1">
      <alignment/>
      <protection/>
    </xf>
    <xf numFmtId="0" fontId="0" fillId="0" borderId="0" xfId="0" applyAlignment="1" applyProtection="1">
      <alignment horizontal="right"/>
      <protection/>
    </xf>
    <xf numFmtId="181" fontId="0" fillId="36" borderId="16" xfId="0" applyNumberFormat="1" applyFill="1" applyBorder="1" applyAlignment="1" applyProtection="1">
      <alignment/>
      <protection/>
    </xf>
    <xf numFmtId="0" fontId="0" fillId="35" borderId="16" xfId="0" applyFill="1" applyBorder="1" applyAlignment="1" applyProtection="1">
      <alignment/>
      <protection/>
    </xf>
    <xf numFmtId="0" fontId="2" fillId="0" borderId="14" xfId="0" applyFont="1" applyBorder="1" applyAlignment="1" applyProtection="1">
      <alignment/>
      <protection/>
    </xf>
    <xf numFmtId="0" fontId="0" fillId="0" borderId="19" xfId="0" applyBorder="1" applyAlignment="1" applyProtection="1">
      <alignment/>
      <protection/>
    </xf>
    <xf numFmtId="0" fontId="0" fillId="35" borderId="17" xfId="0" applyFill="1" applyBorder="1" applyAlignment="1" applyProtection="1">
      <alignment/>
      <protection/>
    </xf>
    <xf numFmtId="0" fontId="39" fillId="0" borderId="10" xfId="0" applyFont="1" applyFill="1" applyBorder="1" applyAlignment="1" applyProtection="1">
      <alignment horizontal="left"/>
      <protection/>
    </xf>
    <xf numFmtId="177" fontId="0" fillId="0" borderId="0" xfId="0" applyNumberFormat="1" applyFill="1" applyBorder="1" applyAlignment="1" applyProtection="1">
      <alignment/>
      <protection/>
    </xf>
    <xf numFmtId="0" fontId="0" fillId="0" borderId="0" xfId="0" applyFill="1" applyBorder="1" applyAlignment="1" applyProtection="1">
      <alignment/>
      <protection/>
    </xf>
    <xf numFmtId="181" fontId="0" fillId="36" borderId="17" xfId="0" applyNumberFormat="1" applyFill="1" applyBorder="1" applyAlignment="1" applyProtection="1">
      <alignment/>
      <protection/>
    </xf>
    <xf numFmtId="0" fontId="0" fillId="0" borderId="0" xfId="0" applyBorder="1" applyAlignment="1" applyProtection="1">
      <alignment horizontal="right"/>
      <protection/>
    </xf>
    <xf numFmtId="181" fontId="0" fillId="0" borderId="0" xfId="0" applyNumberFormat="1" applyFill="1" applyBorder="1" applyAlignment="1" applyProtection="1">
      <alignment/>
      <protection/>
    </xf>
    <xf numFmtId="181" fontId="0" fillId="0" borderId="0" xfId="0" applyNumberFormat="1" applyBorder="1" applyAlignment="1" applyProtection="1">
      <alignment/>
      <protection/>
    </xf>
    <xf numFmtId="178" fontId="0" fillId="0" borderId="0" xfId="0" applyNumberFormat="1" applyBorder="1" applyAlignment="1" applyProtection="1">
      <alignment/>
      <protection/>
    </xf>
    <xf numFmtId="179" fontId="0" fillId="0" borderId="0" xfId="0" applyNumberFormat="1" applyBorder="1" applyAlignment="1" applyProtection="1">
      <alignment/>
      <protection/>
    </xf>
    <xf numFmtId="0" fontId="39" fillId="0" borderId="10" xfId="0" applyFont="1" applyBorder="1" applyAlignment="1" applyProtection="1">
      <alignment horizontal="left"/>
      <protection/>
    </xf>
    <xf numFmtId="177" fontId="0" fillId="36" borderId="16" xfId="0" applyNumberFormat="1" applyFill="1" applyBorder="1" applyAlignment="1" applyProtection="1">
      <alignment/>
      <protection/>
    </xf>
    <xf numFmtId="0" fontId="0" fillId="0" borderId="12" xfId="0" applyFill="1" applyBorder="1" applyAlignment="1" applyProtection="1">
      <alignment horizontal="right"/>
      <protection/>
    </xf>
    <xf numFmtId="0" fontId="0" fillId="0" borderId="14" xfId="0" applyFill="1" applyBorder="1" applyAlignment="1" applyProtection="1">
      <alignment horizontal="right"/>
      <protection/>
    </xf>
    <xf numFmtId="177" fontId="0" fillId="36" borderId="17" xfId="0" applyNumberFormat="1" applyFill="1" applyBorder="1" applyAlignment="1" applyProtection="1">
      <alignment/>
      <protection/>
    </xf>
    <xf numFmtId="0" fontId="0" fillId="0" borderId="0" xfId="0" applyFill="1" applyBorder="1" applyAlignment="1" applyProtection="1">
      <alignment horizontal="right"/>
      <protection/>
    </xf>
    <xf numFmtId="0" fontId="0" fillId="0" borderId="12" xfId="0" applyBorder="1" applyAlignment="1" applyProtection="1">
      <alignment horizontal="center"/>
      <protection/>
    </xf>
    <xf numFmtId="0" fontId="0" fillId="0" borderId="0" xfId="0" applyAlignment="1" applyProtection="1" quotePrefix="1">
      <alignment horizontal="right"/>
      <protection/>
    </xf>
    <xf numFmtId="0" fontId="6" fillId="34" borderId="0" xfId="0" applyFont="1" applyFill="1" applyAlignment="1" applyProtection="1">
      <alignment/>
      <protection/>
    </xf>
    <xf numFmtId="0" fontId="6" fillId="35" borderId="0" xfId="0" applyFont="1" applyFill="1" applyAlignment="1" applyProtection="1">
      <alignment/>
      <protection/>
    </xf>
    <xf numFmtId="0" fontId="39" fillId="0" borderId="0" xfId="0" applyFont="1" applyAlignment="1" applyProtection="1">
      <alignment/>
      <protection/>
    </xf>
    <xf numFmtId="0" fontId="0" fillId="0" borderId="0" xfId="0" applyFill="1" applyAlignment="1" applyProtection="1">
      <alignment/>
      <protection/>
    </xf>
    <xf numFmtId="182" fontId="0" fillId="0" borderId="0" xfId="0" applyNumberFormat="1" applyBorder="1" applyAlignment="1" applyProtection="1">
      <alignment/>
      <protection/>
    </xf>
    <xf numFmtId="176" fontId="0" fillId="0" borderId="0" xfId="0" applyNumberFormat="1" applyBorder="1" applyAlignment="1" applyProtection="1">
      <alignment/>
      <protection/>
    </xf>
    <xf numFmtId="0" fontId="3" fillId="0" borderId="14" xfId="0" applyFont="1" applyBorder="1" applyAlignment="1" applyProtection="1">
      <alignment horizontal="right"/>
      <protection/>
    </xf>
    <xf numFmtId="0" fontId="2" fillId="0" borderId="0" xfId="0" applyFont="1" applyAlignment="1" applyProtection="1">
      <alignment/>
      <protection/>
    </xf>
    <xf numFmtId="0" fontId="5" fillId="0" borderId="0" xfId="0" applyFont="1" applyAlignment="1" applyProtection="1">
      <alignment/>
      <protection/>
    </xf>
    <xf numFmtId="0" fontId="2" fillId="0" borderId="0" xfId="0" applyFont="1" applyBorder="1" applyAlignment="1" applyProtection="1">
      <alignment/>
      <protection/>
    </xf>
    <xf numFmtId="177" fontId="0" fillId="0" borderId="0" xfId="0" applyNumberFormat="1" applyBorder="1" applyAlignment="1" applyProtection="1">
      <alignment/>
      <protection/>
    </xf>
    <xf numFmtId="0" fontId="0" fillId="0" borderId="13" xfId="0" applyFill="1" applyBorder="1" applyAlignment="1" applyProtection="1">
      <alignment/>
      <protection/>
    </xf>
    <xf numFmtId="177" fontId="0" fillId="0" borderId="19" xfId="0" applyNumberFormat="1" applyBorder="1" applyAlignment="1" applyProtection="1">
      <alignment/>
      <protection/>
    </xf>
    <xf numFmtId="0" fontId="0" fillId="0" borderId="15" xfId="0" applyFill="1" applyBorder="1" applyAlignment="1" applyProtection="1">
      <alignment/>
      <protection/>
    </xf>
    <xf numFmtId="0" fontId="0" fillId="0" borderId="0" xfId="0" applyBorder="1" applyAlignment="1" applyProtection="1">
      <alignment/>
      <protection locked="0"/>
    </xf>
    <xf numFmtId="0" fontId="0" fillId="0" borderId="19" xfId="0" applyFill="1" applyBorder="1" applyAlignment="1" applyProtection="1">
      <alignment/>
      <protection locked="0"/>
    </xf>
    <xf numFmtId="182" fontId="0" fillId="36" borderId="17" xfId="0" applyNumberFormat="1" applyFill="1" applyBorder="1" applyAlignment="1" applyProtection="1">
      <alignment/>
      <protection/>
    </xf>
    <xf numFmtId="177" fontId="0" fillId="36" borderId="17" xfId="0" applyNumberFormat="1" applyFont="1" applyFill="1" applyBorder="1" applyAlignment="1" applyProtection="1">
      <alignment/>
      <protection/>
    </xf>
    <xf numFmtId="177" fontId="0" fillId="0" borderId="0" xfId="0" applyNumberFormat="1" applyFill="1" applyBorder="1" applyAlignment="1" applyProtection="1">
      <alignment/>
      <protection locked="0"/>
    </xf>
    <xf numFmtId="0" fontId="0" fillId="0" borderId="19" xfId="0" applyFill="1" applyBorder="1" applyAlignment="1" applyProtection="1">
      <alignment/>
      <protection/>
    </xf>
    <xf numFmtId="0" fontId="39" fillId="0" borderId="20" xfId="0" applyFont="1" applyFill="1" applyBorder="1" applyAlignment="1" applyProtection="1">
      <alignment horizontal="left"/>
      <protection/>
    </xf>
    <xf numFmtId="0" fontId="0" fillId="0" borderId="21" xfId="0" applyBorder="1" applyAlignment="1" applyProtection="1">
      <alignment/>
      <protection/>
    </xf>
    <xf numFmtId="0" fontId="0" fillId="0" borderId="22" xfId="0" applyBorder="1" applyAlignment="1" applyProtection="1">
      <alignment/>
      <protection/>
    </xf>
    <xf numFmtId="183" fontId="0" fillId="33" borderId="16" xfId="0" applyNumberFormat="1" applyFill="1" applyBorder="1" applyAlignment="1" applyProtection="1">
      <alignment/>
      <protection locked="0"/>
    </xf>
    <xf numFmtId="178" fontId="0" fillId="0" borderId="0" xfId="0" applyNumberFormat="1" applyFill="1" applyBorder="1" applyAlignment="1" applyProtection="1">
      <alignment/>
      <protection/>
    </xf>
    <xf numFmtId="179" fontId="0" fillId="0" borderId="0" xfId="0" applyNumberFormat="1" applyFill="1" applyBorder="1" applyAlignment="1" applyProtection="1">
      <alignment/>
      <protection/>
    </xf>
    <xf numFmtId="0" fontId="40" fillId="0" borderId="0" xfId="0" applyFont="1" applyAlignment="1" applyProtection="1">
      <alignment/>
      <protection/>
    </xf>
    <xf numFmtId="0" fontId="0" fillId="0" borderId="0" xfId="0" applyBorder="1" applyAlignment="1" applyProtection="1">
      <alignment shrinkToFit="1"/>
      <protection/>
    </xf>
    <xf numFmtId="0" fontId="0" fillId="0" borderId="18" xfId="0" applyBorder="1" applyAlignment="1" applyProtection="1">
      <alignment horizontal="left"/>
      <protection/>
    </xf>
    <xf numFmtId="0" fontId="0" fillId="0" borderId="11" xfId="0"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4"/>
  <sheetViews>
    <sheetView tabSelected="1" zoomScalePageLayoutView="0" workbookViewId="0" topLeftCell="A1">
      <selection activeCell="B15" sqref="B15"/>
    </sheetView>
  </sheetViews>
  <sheetFormatPr defaultColWidth="9.00390625" defaultRowHeight="13.5"/>
  <cols>
    <col min="1" max="1" width="11.625" style="0" bestFit="1" customWidth="1"/>
  </cols>
  <sheetData>
    <row r="1" ht="12.75">
      <c r="A1" t="s">
        <v>73</v>
      </c>
    </row>
    <row r="2" ht="12.75">
      <c r="A2" t="s">
        <v>74</v>
      </c>
    </row>
    <row r="3" ht="12.75">
      <c r="A3" t="s">
        <v>75</v>
      </c>
    </row>
    <row r="4" ht="12.75">
      <c r="A4" t="s">
        <v>76</v>
      </c>
    </row>
    <row r="5" ht="12.75">
      <c r="A5" t="s">
        <v>77</v>
      </c>
    </row>
    <row r="7" ht="12.75">
      <c r="A7" t="s">
        <v>78</v>
      </c>
    </row>
    <row r="8" spans="1:2" ht="12.75">
      <c r="A8" s="1">
        <v>39393</v>
      </c>
      <c r="B8" t="s">
        <v>47</v>
      </c>
    </row>
    <row r="9" spans="1:2" ht="12.75">
      <c r="A9" s="1">
        <v>40157</v>
      </c>
      <c r="B9" t="s">
        <v>50</v>
      </c>
    </row>
    <row r="10" spans="1:2" ht="12.75">
      <c r="A10" s="1">
        <v>40186</v>
      </c>
      <c r="B10" t="s">
        <v>51</v>
      </c>
    </row>
    <row r="11" spans="1:2" ht="12.75">
      <c r="A11" s="1">
        <v>40848</v>
      </c>
      <c r="B11" t="s">
        <v>69</v>
      </c>
    </row>
    <row r="12" spans="1:2" ht="12.75">
      <c r="A12" s="1">
        <v>43293</v>
      </c>
      <c r="B12" t="s">
        <v>94</v>
      </c>
    </row>
    <row r="13" spans="1:2" ht="12.75">
      <c r="A13" s="1">
        <v>43770</v>
      </c>
      <c r="B13" t="s">
        <v>95</v>
      </c>
    </row>
    <row r="14" ht="12.75">
      <c r="B14" t="s">
        <v>96</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63"/>
  <sheetViews>
    <sheetView zoomScalePageLayoutView="0" workbookViewId="0" topLeftCell="A1">
      <selection activeCell="B5" sqref="B5"/>
    </sheetView>
  </sheetViews>
  <sheetFormatPr defaultColWidth="9.00390625" defaultRowHeight="13.5"/>
  <cols>
    <col min="1" max="1" width="16.25390625" style="10" customWidth="1"/>
    <col min="2" max="3" width="9.25390625" style="10" customWidth="1"/>
    <col min="4" max="4" width="5.00390625" style="10" customWidth="1"/>
    <col min="5" max="5" width="11.375" style="10" customWidth="1"/>
    <col min="6" max="6" width="9.00390625" style="10" customWidth="1"/>
    <col min="7" max="7" width="11.25390625" style="10" customWidth="1"/>
    <col min="8" max="8" width="3.625" style="10" customWidth="1"/>
    <col min="9" max="9" width="13.50390625" style="10" customWidth="1"/>
    <col min="10" max="16384" width="9.00390625" style="10" customWidth="1"/>
  </cols>
  <sheetData>
    <row r="1" spans="1:11" ht="12.75">
      <c r="A1" s="15" t="s">
        <v>53</v>
      </c>
      <c r="B1" s="15"/>
      <c r="C1" s="15"/>
      <c r="D1" s="15"/>
      <c r="E1" s="15"/>
      <c r="F1" s="15"/>
      <c r="G1" s="15"/>
      <c r="I1" s="16" t="s">
        <v>61</v>
      </c>
      <c r="J1" s="16"/>
      <c r="K1" s="16"/>
    </row>
    <row r="2" spans="1:11" ht="12.75">
      <c r="A2" s="15" t="s">
        <v>54</v>
      </c>
      <c r="B2" s="15"/>
      <c r="C2" s="15"/>
      <c r="D2" s="15"/>
      <c r="E2" s="15"/>
      <c r="F2" s="15"/>
      <c r="G2" s="15"/>
      <c r="I2" s="16" t="s">
        <v>60</v>
      </c>
      <c r="J2" s="16"/>
      <c r="K2" s="16"/>
    </row>
    <row r="3" spans="1:9" ht="13.5" thickBot="1">
      <c r="A3" s="10" t="s">
        <v>10</v>
      </c>
      <c r="I3" s="10" t="s">
        <v>2</v>
      </c>
    </row>
    <row r="4" spans="1:13" ht="12.75">
      <c r="A4" s="17" t="s">
        <v>55</v>
      </c>
      <c r="B4" s="18" t="s">
        <v>16</v>
      </c>
      <c r="C4" s="18" t="s">
        <v>17</v>
      </c>
      <c r="D4" s="18"/>
      <c r="E4" s="18"/>
      <c r="F4" s="18"/>
      <c r="G4" s="3"/>
      <c r="I4" s="2" t="s">
        <v>55</v>
      </c>
      <c r="J4" s="18" t="s">
        <v>52</v>
      </c>
      <c r="K4" s="18"/>
      <c r="L4" s="70" t="s">
        <v>62</v>
      </c>
      <c r="M4" s="71"/>
    </row>
    <row r="5" spans="1:13" ht="15">
      <c r="A5" s="4" t="s">
        <v>22</v>
      </c>
      <c r="B5" s="11"/>
      <c r="C5" s="14"/>
      <c r="D5" s="9" t="s">
        <v>70</v>
      </c>
      <c r="E5" s="9"/>
      <c r="F5" s="9"/>
      <c r="G5" s="6"/>
      <c r="I5" s="4" t="s">
        <v>39</v>
      </c>
      <c r="J5" s="20">
        <f>IF(B24&lt;&gt;"",((1000*$B$24)/(100.12*$B$26)+(1000*$B$25)/(100.12*$B$27))/2,"")</f>
      </c>
      <c r="K5" s="9" t="s">
        <v>38</v>
      </c>
      <c r="L5" s="21">
        <f>IF(B24&lt;&gt;"",((1000*$B$24)/(100.12*$B$26)),"")</f>
      </c>
      <c r="M5" s="6" t="s">
        <v>38</v>
      </c>
    </row>
    <row r="6" spans="1:13" ht="15.75" thickBot="1">
      <c r="A6" s="4" t="s">
        <v>23</v>
      </c>
      <c r="B6" s="11"/>
      <c r="C6" s="14"/>
      <c r="D6" s="9" t="s">
        <v>70</v>
      </c>
      <c r="E6" s="9"/>
      <c r="F6" s="9"/>
      <c r="G6" s="6"/>
      <c r="I6" s="22"/>
      <c r="J6" s="23"/>
      <c r="K6" s="23"/>
      <c r="L6" s="24">
        <f>IF(B25&lt;&gt;"",(1000*$B$25)/(100.12*$B$27),"")</f>
      </c>
      <c r="M6" s="8" t="s">
        <v>38</v>
      </c>
    </row>
    <row r="7" spans="1:7" ht="15.75" thickBot="1">
      <c r="A7" s="4" t="s">
        <v>24</v>
      </c>
      <c r="B7" s="12"/>
      <c r="C7" s="56"/>
      <c r="D7" s="9" t="s">
        <v>85</v>
      </c>
      <c r="E7" s="9"/>
      <c r="F7" s="9"/>
      <c r="G7" s="6"/>
    </row>
    <row r="8" spans="1:13" ht="15.75" thickBot="1">
      <c r="A8" s="7" t="s">
        <v>25</v>
      </c>
      <c r="B8" s="13"/>
      <c r="C8" s="57"/>
      <c r="D8" s="23" t="s">
        <v>84</v>
      </c>
      <c r="E8" s="23"/>
      <c r="F8" s="23"/>
      <c r="G8" s="8"/>
      <c r="I8" s="25" t="s">
        <v>56</v>
      </c>
      <c r="J8" s="18"/>
      <c r="K8" s="3"/>
      <c r="L8" s="69"/>
      <c r="M8" s="9"/>
    </row>
    <row r="9" spans="1:13" ht="13.5" thickBot="1">
      <c r="A9" s="19"/>
      <c r="B9" s="26"/>
      <c r="C9" s="27"/>
      <c r="I9" s="7" t="s">
        <v>43</v>
      </c>
      <c r="J9" s="28">
        <f>IF(B29&lt;&gt;"",$J$5*25/$B$29,"")</f>
      </c>
      <c r="K9" s="8" t="s">
        <v>38</v>
      </c>
      <c r="L9" s="9"/>
      <c r="M9" s="30"/>
    </row>
    <row r="10" spans="1:13" ht="13.5" thickBot="1">
      <c r="A10" s="25" t="s">
        <v>56</v>
      </c>
      <c r="B10" s="18" t="s">
        <v>14</v>
      </c>
      <c r="C10" s="18" t="s">
        <v>15</v>
      </c>
      <c r="D10" s="18"/>
      <c r="E10" s="18"/>
      <c r="F10" s="18"/>
      <c r="G10" s="3"/>
      <c r="I10" s="29"/>
      <c r="J10" s="30"/>
      <c r="K10" s="9"/>
      <c r="L10" s="9"/>
      <c r="M10" s="27"/>
    </row>
    <row r="11" spans="1:13" ht="13.5" thickBot="1">
      <c r="A11" s="7" t="s">
        <v>40</v>
      </c>
      <c r="B11" s="13"/>
      <c r="C11" s="13"/>
      <c r="D11" s="23" t="s">
        <v>64</v>
      </c>
      <c r="E11" s="23"/>
      <c r="F11" s="23"/>
      <c r="G11" s="8"/>
      <c r="I11" s="25" t="s">
        <v>57</v>
      </c>
      <c r="J11" s="18"/>
      <c r="K11" s="3"/>
      <c r="L11" s="9"/>
      <c r="M11" s="27"/>
    </row>
    <row r="12" spans="1:13" ht="13.5" thickBot="1">
      <c r="A12" s="19"/>
      <c r="B12" s="26"/>
      <c r="C12" s="26"/>
      <c r="I12" s="4" t="s">
        <v>29</v>
      </c>
      <c r="J12" s="31">
        <f>IF(B32&lt;&gt;"",$J$5*($B$32-$B$33)/25,"")</f>
      </c>
      <c r="K12" s="6" t="s">
        <v>38</v>
      </c>
      <c r="L12" s="9"/>
      <c r="M12" s="30"/>
    </row>
    <row r="13" spans="1:13" ht="15">
      <c r="A13" s="25" t="s">
        <v>57</v>
      </c>
      <c r="B13" s="18" t="s">
        <v>14</v>
      </c>
      <c r="C13" s="18" t="s">
        <v>15</v>
      </c>
      <c r="D13" s="18"/>
      <c r="E13" s="18"/>
      <c r="F13" s="18"/>
      <c r="G13" s="3"/>
      <c r="I13" s="4" t="s">
        <v>30</v>
      </c>
      <c r="J13" s="32">
        <f>IF(B33&lt;&gt;"",$B$33*$J$5/25,"")</f>
      </c>
      <c r="K13" s="6" t="s">
        <v>38</v>
      </c>
      <c r="L13" s="9"/>
      <c r="M13" s="66"/>
    </row>
    <row r="14" spans="1:13" ht="12.75">
      <c r="A14" s="4" t="s">
        <v>26</v>
      </c>
      <c r="B14" s="11"/>
      <c r="C14" s="14"/>
      <c r="D14" s="9" t="s">
        <v>71</v>
      </c>
      <c r="E14" s="9"/>
      <c r="F14" s="9"/>
      <c r="G14" s="6"/>
      <c r="I14" s="5" t="s">
        <v>32</v>
      </c>
      <c r="J14" s="9"/>
      <c r="K14" s="6"/>
      <c r="L14" s="9"/>
      <c r="M14" s="27"/>
    </row>
    <row r="15" spans="1:13" ht="12.75">
      <c r="A15" s="4" t="s">
        <v>18</v>
      </c>
      <c r="B15" s="12"/>
      <c r="C15" s="12"/>
      <c r="D15" s="9" t="s">
        <v>79</v>
      </c>
      <c r="E15" s="9"/>
      <c r="F15" s="9"/>
      <c r="G15" s="6"/>
      <c r="I15" s="4" t="s">
        <v>29</v>
      </c>
      <c r="J15" s="32">
        <f>IF(J12&lt;&gt;"",$J$12*$F$23*0.25,"")</f>
      </c>
      <c r="K15" s="6" t="s">
        <v>31</v>
      </c>
      <c r="L15" s="9"/>
      <c r="M15" s="66"/>
    </row>
    <row r="16" spans="1:13" ht="15.75" thickBot="1">
      <c r="A16" s="7" t="s">
        <v>19</v>
      </c>
      <c r="B16" s="13"/>
      <c r="C16" s="13"/>
      <c r="D16" s="23" t="s">
        <v>79</v>
      </c>
      <c r="E16" s="23"/>
      <c r="F16" s="23"/>
      <c r="G16" s="8"/>
      <c r="I16" s="4" t="s">
        <v>30</v>
      </c>
      <c r="J16" s="33">
        <f>IF(J13&lt;&gt;"",$F$24*$J$13*0.25,"")</f>
      </c>
      <c r="K16" s="6" t="s">
        <v>31</v>
      </c>
      <c r="L16" s="9"/>
      <c r="M16" s="67"/>
    </row>
    <row r="17" spans="1:13" ht="13.5" thickBot="1">
      <c r="A17" s="19"/>
      <c r="B17" s="26"/>
      <c r="C17" s="26"/>
      <c r="I17" s="5" t="s">
        <v>33</v>
      </c>
      <c r="J17" s="9"/>
      <c r="K17" s="6"/>
      <c r="L17" s="9"/>
      <c r="M17" s="27"/>
    </row>
    <row r="18" spans="1:13" ht="12.75">
      <c r="A18" s="34" t="s">
        <v>58</v>
      </c>
      <c r="B18" s="18" t="s">
        <v>14</v>
      </c>
      <c r="C18" s="18" t="s">
        <v>15</v>
      </c>
      <c r="D18" s="18"/>
      <c r="E18" s="18"/>
      <c r="F18" s="18"/>
      <c r="G18" s="3"/>
      <c r="I18" s="4" t="s">
        <v>29</v>
      </c>
      <c r="J18" s="35">
        <f>IF(J15&lt;&gt;"",($J$15/$B$31)*100,"")</f>
      </c>
      <c r="K18" s="6" t="s">
        <v>36</v>
      </c>
      <c r="L18" s="9"/>
      <c r="M18" s="26"/>
    </row>
    <row r="19" spans="1:13" ht="15">
      <c r="A19" s="36" t="s">
        <v>41</v>
      </c>
      <c r="B19" s="65"/>
      <c r="C19" s="65"/>
      <c r="D19" s="9" t="s">
        <v>80</v>
      </c>
      <c r="E19" s="9"/>
      <c r="F19" s="9"/>
      <c r="G19" s="6"/>
      <c r="I19" s="4" t="s">
        <v>30</v>
      </c>
      <c r="J19" s="35">
        <f>IF(J16&lt;&gt;"",($J$16/$B$31)*100,"")</f>
      </c>
      <c r="K19" s="6" t="s">
        <v>36</v>
      </c>
      <c r="L19" s="9"/>
      <c r="M19" s="26"/>
    </row>
    <row r="20" spans="1:13" ht="13.5" thickBot="1">
      <c r="A20" s="37" t="s">
        <v>42</v>
      </c>
      <c r="B20" s="13"/>
      <c r="C20" s="13"/>
      <c r="D20" s="23" t="s">
        <v>87</v>
      </c>
      <c r="E20" s="23"/>
      <c r="F20" s="23"/>
      <c r="G20" s="8"/>
      <c r="I20" s="7" t="s">
        <v>34</v>
      </c>
      <c r="J20" s="38">
        <f>IF(J18&lt;&gt;"",100-($J$18+$J$19),"")</f>
      </c>
      <c r="K20" s="8" t="s">
        <v>36</v>
      </c>
      <c r="L20" s="9"/>
      <c r="M20" s="26"/>
    </row>
    <row r="21" spans="1:13" ht="13.5" thickBot="1">
      <c r="A21" s="39"/>
      <c r="B21" s="26"/>
      <c r="C21" s="27"/>
      <c r="M21" s="45"/>
    </row>
    <row r="22" spans="1:11" ht="13.5" thickBot="1">
      <c r="A22" s="62" t="s">
        <v>59</v>
      </c>
      <c r="B22" s="63"/>
      <c r="C22" s="64"/>
      <c r="D22" s="9"/>
      <c r="E22" s="2" t="s">
        <v>1</v>
      </c>
      <c r="F22" s="3"/>
      <c r="I22" s="34" t="s">
        <v>58</v>
      </c>
      <c r="J22" s="18"/>
      <c r="K22" s="3"/>
    </row>
    <row r="23" spans="1:11" ht="12.75">
      <c r="A23" s="17" t="s">
        <v>55</v>
      </c>
      <c r="B23" s="18"/>
      <c r="C23" s="3"/>
      <c r="D23" s="51"/>
      <c r="E23" s="4" t="s">
        <v>27</v>
      </c>
      <c r="F23" s="6">
        <f>22.98976+15.9994+1.00794</f>
        <v>39.997099999999996</v>
      </c>
      <c r="I23" s="40" t="s">
        <v>46</v>
      </c>
      <c r="J23" s="9"/>
      <c r="K23" s="6"/>
    </row>
    <row r="24" spans="1:11" ht="15.75" thickBot="1">
      <c r="A24" s="4" t="s">
        <v>22</v>
      </c>
      <c r="B24" s="32">
        <f>IF(B5&lt;&gt;"",ABS(B5-C5),"")</f>
      </c>
      <c r="C24" s="6" t="s">
        <v>31</v>
      </c>
      <c r="D24" s="9"/>
      <c r="E24" s="7" t="s">
        <v>28</v>
      </c>
      <c r="F24" s="8">
        <f>22.98976*2+12.011+15.9994*3</f>
        <v>105.98872</v>
      </c>
      <c r="I24" s="4" t="s">
        <v>44</v>
      </c>
      <c r="J24" s="20">
        <f>IF(B35&lt;&gt;"",$J$9*$B$35/25,"")</f>
      </c>
      <c r="K24" s="6" t="s">
        <v>38</v>
      </c>
    </row>
    <row r="25" spans="1:11" ht="15.75" thickBot="1">
      <c r="A25" s="4" t="s">
        <v>23</v>
      </c>
      <c r="B25" s="32">
        <f>IF(B6&lt;&gt;"",ABS(B6-C6),"")</f>
      </c>
      <c r="C25" s="6" t="s">
        <v>31</v>
      </c>
      <c r="I25" s="7" t="s">
        <v>45</v>
      </c>
      <c r="J25" s="28">
        <f>IF(B36&lt;&gt;"",$J$9*$B$36/25,"")</f>
      </c>
      <c r="K25" s="8" t="s">
        <v>38</v>
      </c>
    </row>
    <row r="26" spans="1:4" ht="12.75">
      <c r="A26" s="4" t="s">
        <v>24</v>
      </c>
      <c r="B26" s="52">
        <f>IF(B7&lt;&gt;"",B7,"")</f>
      </c>
      <c r="C26" s="6" t="s">
        <v>63</v>
      </c>
      <c r="D26" s="19"/>
    </row>
    <row r="27" spans="1:3" ht="13.5" thickBot="1">
      <c r="A27" s="7" t="s">
        <v>25</v>
      </c>
      <c r="B27" s="54">
        <f>IF(B8&lt;&gt;"",B8,"")</f>
      </c>
      <c r="C27" s="55" t="s">
        <v>63</v>
      </c>
    </row>
    <row r="28" spans="1:3" ht="12.75">
      <c r="A28" s="25" t="s">
        <v>56</v>
      </c>
      <c r="B28" s="18"/>
      <c r="C28" s="3"/>
    </row>
    <row r="29" spans="1:3" ht="13.5" thickBot="1">
      <c r="A29" s="7" t="s">
        <v>81</v>
      </c>
      <c r="B29" s="54">
        <f>IF(B11&lt;&gt;"",AVERAGE(B11:C11),"")</f>
      </c>
      <c r="C29" s="55" t="s">
        <v>63</v>
      </c>
    </row>
    <row r="30" spans="1:5" ht="12.75">
      <c r="A30" s="25" t="s">
        <v>57</v>
      </c>
      <c r="B30" s="18"/>
      <c r="C30" s="3"/>
      <c r="E30" s="19"/>
    </row>
    <row r="31" spans="1:5" ht="12.75">
      <c r="A31" s="4" t="s">
        <v>35</v>
      </c>
      <c r="B31" s="32">
        <f>IF(B14&lt;&gt;"",ABS(B14-C14),"")</f>
      </c>
      <c r="C31" s="53" t="s">
        <v>31</v>
      </c>
      <c r="E31" s="41"/>
    </row>
    <row r="32" spans="1:3" ht="12.75">
      <c r="A32" s="4" t="s">
        <v>18</v>
      </c>
      <c r="B32" s="52">
        <f>IF(B15&lt;&gt;"",AVERAGE(B15:C15),"")</f>
      </c>
      <c r="C32" s="53" t="s">
        <v>63</v>
      </c>
    </row>
    <row r="33" spans="1:4" ht="13.5" thickBot="1">
      <c r="A33" s="7" t="s">
        <v>19</v>
      </c>
      <c r="B33" s="54">
        <f>IF(B16&lt;&gt;"",AVERAGE(B16:C16),"")</f>
      </c>
      <c r="C33" s="55" t="s">
        <v>63</v>
      </c>
      <c r="D33" s="19"/>
    </row>
    <row r="34" spans="1:3" ht="12.75">
      <c r="A34" s="34" t="s">
        <v>58</v>
      </c>
      <c r="B34" s="18"/>
      <c r="C34" s="3"/>
    </row>
    <row r="35" spans="1:3" ht="12.75">
      <c r="A35" s="4" t="s">
        <v>82</v>
      </c>
      <c r="B35" s="52">
        <f>IF(B19&lt;&gt;"",AVERAGE(B19:C19),"")</f>
      </c>
      <c r="C35" s="53" t="s">
        <v>63</v>
      </c>
    </row>
    <row r="36" spans="1:4" ht="13.5" thickBot="1">
      <c r="A36" s="7" t="s">
        <v>83</v>
      </c>
      <c r="B36" s="54">
        <f>IF(B20&lt;&gt;"",AVERAGE(B20:C20),"")</f>
      </c>
      <c r="C36" s="55" t="s">
        <v>63</v>
      </c>
      <c r="D36" s="19"/>
    </row>
    <row r="42" ht="12.75">
      <c r="D42" s="19"/>
    </row>
    <row r="61" ht="12.75">
      <c r="D61" s="10" t="s">
        <v>45</v>
      </c>
    </row>
    <row r="62" ht="12.75">
      <c r="D62" s="10" t="s">
        <v>48</v>
      </c>
    </row>
    <row r="63" ht="12.75">
      <c r="D63" s="10" t="s">
        <v>49</v>
      </c>
    </row>
  </sheetData>
  <sheetProtection password="9F8E" sheet="1" selectLockedCells="1"/>
  <mergeCells count="1">
    <mergeCell ref="L4:M4"/>
  </mergeCells>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B5" sqref="B5"/>
    </sheetView>
  </sheetViews>
  <sheetFormatPr defaultColWidth="9.00390625" defaultRowHeight="13.5"/>
  <cols>
    <col min="1" max="1" width="15.50390625" style="10" customWidth="1"/>
    <col min="2" max="3" width="9.625" style="10" customWidth="1"/>
    <col min="4" max="4" width="6.50390625" style="10" customWidth="1"/>
    <col min="5" max="5" width="15.125" style="10" customWidth="1"/>
    <col min="6" max="6" width="13.875" style="10" customWidth="1"/>
    <col min="7" max="7" width="9.875" style="10" customWidth="1"/>
    <col min="8" max="16384" width="9.00390625" style="10" customWidth="1"/>
  </cols>
  <sheetData>
    <row r="1" spans="1:8" ht="12.75">
      <c r="A1" s="42" t="s">
        <v>53</v>
      </c>
      <c r="B1" s="15"/>
      <c r="C1" s="15"/>
      <c r="D1" s="15"/>
      <c r="E1" s="15"/>
      <c r="F1" s="15"/>
      <c r="G1" s="43" t="s">
        <v>61</v>
      </c>
      <c r="H1" s="16"/>
    </row>
    <row r="2" spans="1:8" ht="12.75">
      <c r="A2" s="42" t="s">
        <v>54</v>
      </c>
      <c r="B2" s="15"/>
      <c r="C2" s="15"/>
      <c r="D2" s="15"/>
      <c r="E2" s="15"/>
      <c r="F2" s="15"/>
      <c r="G2" s="43" t="s">
        <v>60</v>
      </c>
      <c r="H2" s="16"/>
    </row>
    <row r="3" ht="12.75">
      <c r="A3" s="10" t="s">
        <v>10</v>
      </c>
    </row>
    <row r="4" spans="1:3" ht="12.75">
      <c r="A4" s="44" t="s">
        <v>20</v>
      </c>
      <c r="B4" s="45" t="s">
        <v>14</v>
      </c>
      <c r="C4" s="45" t="s">
        <v>15</v>
      </c>
    </row>
    <row r="5" spans="1:4" ht="15">
      <c r="A5" s="19" t="s">
        <v>68</v>
      </c>
      <c r="B5" s="11"/>
      <c r="C5" s="11"/>
      <c r="D5" s="10" t="s">
        <v>72</v>
      </c>
    </row>
    <row r="6" spans="1:4" ht="12.75">
      <c r="A6" s="19" t="s">
        <v>11</v>
      </c>
      <c r="B6" s="12"/>
      <c r="C6" s="12"/>
      <c r="D6" s="10" t="s">
        <v>64</v>
      </c>
    </row>
    <row r="7" spans="1:3" ht="12.75">
      <c r="A7" s="44" t="s">
        <v>21</v>
      </c>
      <c r="B7" s="60"/>
      <c r="C7" s="60"/>
    </row>
    <row r="8" spans="1:4" ht="12.75">
      <c r="A8" s="19" t="s">
        <v>12</v>
      </c>
      <c r="B8" s="12"/>
      <c r="C8" s="12"/>
      <c r="D8" s="10" t="s">
        <v>64</v>
      </c>
    </row>
    <row r="9" spans="1:4" ht="12.75">
      <c r="A9" s="19" t="s">
        <v>13</v>
      </c>
      <c r="B9" s="12"/>
      <c r="C9" s="12"/>
      <c r="D9" s="10" t="s">
        <v>64</v>
      </c>
    </row>
    <row r="10" spans="8:10" ht="13.5" thickBot="1">
      <c r="H10" s="9"/>
      <c r="I10" s="9"/>
      <c r="J10" s="9"/>
    </row>
    <row r="11" spans="1:10" ht="12.75">
      <c r="A11" s="2" t="s">
        <v>86</v>
      </c>
      <c r="B11" s="18"/>
      <c r="C11" s="3"/>
      <c r="E11" s="2" t="s">
        <v>2</v>
      </c>
      <c r="F11" s="18"/>
      <c r="G11" s="3"/>
      <c r="H11" s="9"/>
      <c r="I11" s="9"/>
      <c r="J11" s="9"/>
    </row>
    <row r="12" spans="1:10" ht="15">
      <c r="A12" s="36" t="s">
        <v>0</v>
      </c>
      <c r="B12" s="27">
        <f>IF(B5&lt;&gt;"",ABS(B5-C5),"")</f>
      </c>
      <c r="C12" s="6" t="s">
        <v>31</v>
      </c>
      <c r="E12" s="4" t="s">
        <v>67</v>
      </c>
      <c r="F12" s="46">
        <f>IF(B12&lt;&gt;"",(B12/B17)/0.25,"")</f>
      </c>
      <c r="G12" s="6" t="s">
        <v>91</v>
      </c>
      <c r="H12" s="9"/>
      <c r="I12" s="9"/>
      <c r="J12" s="9"/>
    </row>
    <row r="13" spans="1:10" ht="12.75">
      <c r="A13" s="36" t="s">
        <v>3</v>
      </c>
      <c r="B13" s="27">
        <f>IF(B6&lt;&gt;"",AVERAGE(B6:C6),"")</f>
      </c>
      <c r="C13" s="6" t="s">
        <v>63</v>
      </c>
      <c r="E13" s="4" t="s">
        <v>37</v>
      </c>
      <c r="F13" s="47">
        <f>IF(F12&lt;&gt;"",F12*25/1000,"")</f>
      </c>
      <c r="G13" s="6" t="s">
        <v>65</v>
      </c>
      <c r="H13" s="47"/>
      <c r="I13" s="9"/>
      <c r="J13" s="9"/>
    </row>
    <row r="14" spans="1:10" ht="13.5" thickBot="1">
      <c r="A14" s="36" t="s">
        <v>4</v>
      </c>
      <c r="B14" s="27">
        <f>IF(B8&lt;&gt;"",AVERAGE(B8:C8),"")</f>
      </c>
      <c r="C14" s="6" t="s">
        <v>63</v>
      </c>
      <c r="E14" s="7" t="s">
        <v>6</v>
      </c>
      <c r="F14" s="58">
        <f>IF(F13&lt;&gt;"",F13/(B13/1000),"")</f>
      </c>
      <c r="G14" s="8" t="s">
        <v>90</v>
      </c>
      <c r="H14" s="9"/>
      <c r="I14" s="9"/>
      <c r="J14" s="9"/>
    </row>
    <row r="15" spans="1:10" ht="13.5" thickBot="1">
      <c r="A15" s="37" t="s">
        <v>5</v>
      </c>
      <c r="B15" s="61">
        <f>IF(B9&lt;&gt;"",AVERAGE(B9:C9),"")</f>
      </c>
      <c r="C15" s="8" t="s">
        <v>63</v>
      </c>
      <c r="E15" s="2" t="s">
        <v>7</v>
      </c>
      <c r="F15" s="18"/>
      <c r="G15" s="3"/>
      <c r="H15" s="9"/>
      <c r="I15" s="9"/>
      <c r="J15" s="9"/>
    </row>
    <row r="16" spans="1:10" ht="12.75">
      <c r="A16" s="5" t="s">
        <v>1</v>
      </c>
      <c r="B16" s="9"/>
      <c r="C16" s="6"/>
      <c r="E16" s="4" t="s">
        <v>92</v>
      </c>
      <c r="F16" s="9">
        <f>IF(B14&lt;&gt;"",F14*B14/100,"")</f>
      </c>
      <c r="G16" s="6" t="s">
        <v>91</v>
      </c>
      <c r="H16" s="9"/>
      <c r="I16" s="9"/>
      <c r="J16" s="9"/>
    </row>
    <row r="17" spans="1:10" ht="15.75" thickBot="1">
      <c r="A17" s="7" t="s">
        <v>66</v>
      </c>
      <c r="B17" s="23">
        <v>100.0872</v>
      </c>
      <c r="C17" s="8"/>
      <c r="E17" s="48" t="s">
        <v>7</v>
      </c>
      <c r="F17" s="59">
        <f>IF(F16&lt;&gt;"",F16*B17*1000,"")</f>
      </c>
      <c r="G17" s="8" t="s">
        <v>88</v>
      </c>
      <c r="H17" s="9"/>
      <c r="I17" s="9"/>
      <c r="J17" s="9"/>
    </row>
    <row r="18" spans="1:10" ht="12.75">
      <c r="A18" s="27"/>
      <c r="B18" s="27"/>
      <c r="C18" s="9"/>
      <c r="E18" s="2" t="s">
        <v>8</v>
      </c>
      <c r="F18" s="18"/>
      <c r="G18" s="3"/>
      <c r="H18" s="9"/>
      <c r="I18" s="9"/>
      <c r="J18" s="9"/>
    </row>
    <row r="19" spans="1:10" ht="12.75">
      <c r="A19" s="9"/>
      <c r="B19" s="9"/>
      <c r="C19" s="9"/>
      <c r="E19" s="4" t="s">
        <v>93</v>
      </c>
      <c r="F19" s="9">
        <f>IF(B15&lt;&gt;"",F14*B15/100,"")</f>
      </c>
      <c r="G19" s="6" t="s">
        <v>91</v>
      </c>
      <c r="H19" s="9"/>
      <c r="I19" s="9"/>
      <c r="J19" s="9"/>
    </row>
    <row r="20" spans="1:10" ht="13.5" thickBot="1">
      <c r="A20" s="9"/>
      <c r="B20" s="9"/>
      <c r="C20" s="9"/>
      <c r="E20" s="48" t="s">
        <v>8</v>
      </c>
      <c r="F20" s="38">
        <f>IF(F19&lt;&gt;"",F19*B17*1000,"")</f>
      </c>
      <c r="G20" s="8" t="s">
        <v>89</v>
      </c>
      <c r="H20" s="9"/>
      <c r="I20" s="9"/>
      <c r="J20" s="9"/>
    </row>
    <row r="21" spans="1:10" ht="12.75">
      <c r="A21" s="9"/>
      <c r="B21" s="9"/>
      <c r="C21" s="9"/>
      <c r="E21" s="2" t="s">
        <v>9</v>
      </c>
      <c r="F21" s="18"/>
      <c r="G21" s="3"/>
      <c r="H21" s="9"/>
      <c r="I21" s="9"/>
      <c r="J21" s="9"/>
    </row>
    <row r="22" spans="1:10" ht="13.5" thickBot="1">
      <c r="A22" s="9"/>
      <c r="B22" s="9"/>
      <c r="C22" s="9"/>
      <c r="E22" s="48" t="s">
        <v>9</v>
      </c>
      <c r="F22" s="38">
        <f>IF(F17&lt;&gt;"",F17-F20,"")</f>
      </c>
      <c r="G22" s="8" t="s">
        <v>88</v>
      </c>
      <c r="H22" s="9"/>
      <c r="I22" s="9"/>
      <c r="J22" s="9"/>
    </row>
    <row r="23" spans="1:10" ht="12.75">
      <c r="A23" s="9"/>
      <c r="H23" s="9"/>
      <c r="I23" s="9"/>
      <c r="J23" s="9"/>
    </row>
    <row r="24" spans="1:10" ht="12.75">
      <c r="A24" s="9"/>
      <c r="C24" s="19"/>
      <c r="H24" s="9"/>
      <c r="I24" s="9"/>
      <c r="J24" s="9"/>
    </row>
    <row r="25" spans="1:10" ht="12.75">
      <c r="A25" s="9"/>
      <c r="C25" s="19"/>
      <c r="H25" s="9"/>
      <c r="I25" s="9"/>
      <c r="J25" s="9"/>
    </row>
    <row r="26" spans="1:10" ht="12.75">
      <c r="A26" s="9"/>
      <c r="C26" s="41"/>
      <c r="H26" s="9"/>
      <c r="I26" s="9"/>
      <c r="J26" s="9"/>
    </row>
    <row r="27" ht="12.75">
      <c r="C27" s="19"/>
    </row>
    <row r="28" ht="12.75">
      <c r="C28" s="19"/>
    </row>
    <row r="30" spans="3:4" ht="12.75">
      <c r="C30" s="19"/>
      <c r="D30" s="49"/>
    </row>
    <row r="31" ht="12.75">
      <c r="D31" s="50"/>
    </row>
    <row r="32" ht="12.75">
      <c r="D32" s="68"/>
    </row>
  </sheetData>
  <sheetProtection password="9F8E" sheet="1" selectLockedCells="1"/>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Masaru-C2D</dc:creator>
  <cp:keywords/>
  <dc:description/>
  <cp:lastModifiedBy>Masaru-i5</cp:lastModifiedBy>
  <dcterms:created xsi:type="dcterms:W3CDTF">1997-01-08T22:48:59Z</dcterms:created>
  <dcterms:modified xsi:type="dcterms:W3CDTF">2019-11-01T00:35:03Z</dcterms:modified>
  <cp:category/>
  <cp:version/>
  <cp:contentType/>
  <cp:contentStatus/>
</cp:coreProperties>
</file>